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<sst xmlns="http://schemas.openxmlformats.org/spreadsheetml/2006/main" count="544" uniqueCount="228">
  <si>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</si>
  <si>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</si>
  <si>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</si>
  <si>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</si>
  <si>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</si>
  <si>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</si>
  <si>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</si>
  <si>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</si>
  <si>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</si>
  <si>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</si>
  <si>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</si>
  <si>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</si>
  <si>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</si>
  <si>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</si>
  <si>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</si>
  <si>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</si>
  <si>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</si>
  <si>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</si>
  <si>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</si>
  <si>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</si>
  <si>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</si>
  <si>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</si>
  <si>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</si>
  <si>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</si>
  <si>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</si>
  <si>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</si>
  <si>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</si>
  <si>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</si>
  <si>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</si>
  <si>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</si>
  <si>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</si>
  <si>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</si>
  <si>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</si>
  <si>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</si>
  <si>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</si>
  <si>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</si>
  <si>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</si>
  <si>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</si>
  <si>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</si>
  <si>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</si>
  <si>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</si>
  <si>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</si>
  <si>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</si>
  <si>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</si>
  <si>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</si>
  <si>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</si>
  <si>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</si>
  <si>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</si>
  <si>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</si>
  <si>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</si>
  <si>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</si>
  <si>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</si>
  <si>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</si>
  <si>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</si>
  <si>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</si>
  <si>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</si>
  <si>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</si>
  <si>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</si>
  <si>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</si>
  <si>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</si>
  <si>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</si>
  <si>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</si>
  <si>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</si>
  <si>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</si>
  <si>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</si>
  <si>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</si>
  <si>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</si>
  <si>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</si>
  <si>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</si>
  <si>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</si>
  <si>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</si>
  <si>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</si>
  <si>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</si>
  <si>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</si>
  <si>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</si>
  <si>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</si>
  <si>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</si>
  <si>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</si>
  <si>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</si>
  <si>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</si>
  <si>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</si>
  <si>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</si>
  <si>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</si>
  <si>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</si>
  <si>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</si>
  <si>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</si>
  <si>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</si>
  <si>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</si>
  <si>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</si>
  <si>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</si>
  <si>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</si>
  <si>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</si>
  <si>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</si>
  <si>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</si>
  <si>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</si>
  <si>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</si>
  <si>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</si>
  <si>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</si>
  <si>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</si>
  <si>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</si>
  <si>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</si>
  <si>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</si>
  <si>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</si>
  <si>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</si>
  <si>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</si>
  <si>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</si>
  <si>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</si>
  <si>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</si>
  <si>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</si>
  <si>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</si>
  <si>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</si>
  <si>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</si>
  <si>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</si>
  <si>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</si>
  <si>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</si>
  <si>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</si>
  <si>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</si>
  <si>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</si>
  <si>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</si>
  <si>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</si>
  <si>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</si>
  <si>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</si>
  <si>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</si>
  <si>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</si>
  <si>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</si>
  <si>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</si>
  <si>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</si>
  <si>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</si>
  <si>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</si>
  <si>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</si>
  <si>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</si>
  <si>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</si>
  <si>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</si>
  <si>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</si>
  <si>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</si>
  <si>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</si>
  <si>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</si>
  <si>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</si>
  <si>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</si>
  <si>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</si>
  <si>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</si>
  <si>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</si>
  <si>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</si>
  <si>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</si>
  <si>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</si>
  <si>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</si>
  <si>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</si>
  <si>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</si>
  <si>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</si>
  <si>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</si>
  <si>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</si>
  <si>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</si>
  <si>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</si>
  <si>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</si>
  <si>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</si>
  <si>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</si>
  <si>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</si>
  <si>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</si>
  <si>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</si>
  <si>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</si>
  <si>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</si>
  <si>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</si>
  <si>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</si>
  <si>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</si>
  <si>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</si>
  <si>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</si>
  <si>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</si>
  <si>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</si>
  <si>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</si>
  <si>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</si>
  <si>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</si>
  <si>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</si>
  <si>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</si>
  <si>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</si>
  <si>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</si>
  <si>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</si>
  <si>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</si>
  <si>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</si>
  <si>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</si>
  <si>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</si>
  <si>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</si>
  <si>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</si>
  <si>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</si>
  <si>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</si>
  <si>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</si>
  <si>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</si>
  <si>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</si>
  <si>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</si>
  <si>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</si>
  <si>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</si>
  <si>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</si>
  <si>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</si>
  <si>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</si>
  <si>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</si>
  <si>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</si>
  <si>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</si>
  <si>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</si>
  <si>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</si>
  <si>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</si>
  <si>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</si>
  <si>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</si>
  <si>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</si>
  <si>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</si>
  <si>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</si>
  <si>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</si>
  <si>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</si>
  <si>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</si>
  <si>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</si>
  <si>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</si>
  <si>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</si>
  <si>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</si>
  <si>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</si>
  <si>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</si>
  <si>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</si>
  <si>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</si>
  <si>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</si>
  <si>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</si>
  <si>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</si>
  <si>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</si>
  <si>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</si>
  <si>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</si>
  <si>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</si>
  <si>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</si>
  <si>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</si>
  <si>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</si>
  <si>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</si>
  <si>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</si>
  <si>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25.02.15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</si>
</sst>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07" sqref="I107:I10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227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80232.03000000001</v>
      </c>
      <c r="G8" s="18">
        <f aca="true" t="shared" si="0" ref="G8:G42">F8-E8</f>
        <v>1124.0300000000134</v>
      </c>
      <c r="H8" s="45">
        <f>F8/E8*100</f>
        <v>101.42088031551803</v>
      </c>
      <c r="I8" s="31">
        <f aca="true" t="shared" si="1" ref="I8:I42">F8-D8</f>
        <v>-437196.97</v>
      </c>
      <c r="J8" s="31">
        <f aca="true" t="shared" si="2" ref="J8:J14">F8/D8*100</f>
        <v>15.50590129273775</v>
      </c>
      <c r="K8" s="18">
        <f>K10+K19+K30+K33+K34+K42</f>
        <v>7896.738000000007</v>
      </c>
      <c r="L8" s="18"/>
      <c r="M8" s="18">
        <f>M10+M19+M30+M33+M34+M42</f>
        <v>44056.1</v>
      </c>
      <c r="N8" s="18">
        <f>N10+N19+N30+N33+N34+N42</f>
        <v>42517.714</v>
      </c>
      <c r="O8" s="31">
        <f aca="true" t="shared" si="3" ref="O8:O45">N8-M8</f>
        <v>-1538.3859999999986</v>
      </c>
      <c r="P8" s="31">
        <f>F8/M8*100</f>
        <v>182.1133282337747</v>
      </c>
      <c r="Q8" s="31">
        <f>N8-33748.16</f>
        <v>8769.553999999996</v>
      </c>
      <c r="R8" s="125">
        <f>N8/33748.16</f>
        <v>1.2598528038269345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45428.99</v>
      </c>
      <c r="G9" s="18">
        <f t="shared" si="0"/>
        <v>45428.99</v>
      </c>
      <c r="H9" s="16"/>
      <c r="I9" s="50">
        <f t="shared" si="1"/>
        <v>-267261.01</v>
      </c>
      <c r="J9" s="50">
        <f t="shared" si="2"/>
        <v>14.52844350634814</v>
      </c>
      <c r="K9" s="50"/>
      <c r="L9" s="50"/>
      <c r="M9" s="16">
        <f>M10+M17</f>
        <v>23924</v>
      </c>
      <c r="N9" s="16">
        <f>N10+N17</f>
        <v>22219.613999999994</v>
      </c>
      <c r="O9" s="31">
        <f t="shared" si="3"/>
        <v>-1704.3860000000059</v>
      </c>
      <c r="P9" s="50">
        <f>F9/M9*100</f>
        <v>189.8887727804715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45428.99</v>
      </c>
      <c r="G10" s="43">
        <f t="shared" si="0"/>
        <v>499.5899999999965</v>
      </c>
      <c r="H10" s="35">
        <f aca="true" t="shared" si="4" ref="H10:H42">F10/E10*100</f>
        <v>101.1119445173984</v>
      </c>
      <c r="I10" s="50">
        <f t="shared" si="1"/>
        <v>-267261.01</v>
      </c>
      <c r="J10" s="50">
        <f t="shared" si="2"/>
        <v>14.52844350634814</v>
      </c>
      <c r="K10" s="132">
        <f>F10-54745.99/75*60</f>
        <v>1632.198000000004</v>
      </c>
      <c r="L10" s="132">
        <f>F10/(54745.99/75*60)*100</f>
        <v>103.72675240688862</v>
      </c>
      <c r="M10" s="35">
        <f>E10-'січень-2'!E10</f>
        <v>23924</v>
      </c>
      <c r="N10" s="35">
        <f>F10-'січень-2'!F10</f>
        <v>22219.613999999994</v>
      </c>
      <c r="O10" s="47">
        <f t="shared" si="3"/>
        <v>-1704.3860000000059</v>
      </c>
      <c r="P10" s="50">
        <f aca="true" t="shared" si="5" ref="P10:P42">N10/M10*100</f>
        <v>92.8758318007022</v>
      </c>
      <c r="Q10" s="132">
        <f>N10-26568.11</f>
        <v>-4348.4960000000065</v>
      </c>
      <c r="R10" s="133">
        <f>N10/26568.11</f>
        <v>0.8363264831408781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-508.28</v>
      </c>
      <c r="G19" s="43">
        <f t="shared" si="0"/>
        <v>-508.28</v>
      </c>
      <c r="H19" s="35"/>
      <c r="I19" s="50">
        <f t="shared" si="1"/>
        <v>-1008.28</v>
      </c>
      <c r="J19" s="50">
        <f aca="true" t="shared" si="6" ref="J19:J30">F19/D19*100</f>
        <v>-101.65599999999999</v>
      </c>
      <c r="K19" s="50">
        <f>F19-739.11</f>
        <v>-1247.3899999999999</v>
      </c>
      <c r="L19" s="50">
        <f>F19/739.11*100</f>
        <v>-68.76919538363707</v>
      </c>
      <c r="M19" s="35">
        <f>E19-'січень-2'!E19</f>
        <v>0</v>
      </c>
      <c r="N19" s="35">
        <f>F19-'січень-2'!F19</f>
        <v>58.06000000000006</v>
      </c>
      <c r="O19" s="47">
        <f t="shared" si="3"/>
        <v>58.06000000000006</v>
      </c>
      <c r="P19" s="50"/>
      <c r="Q19" s="50">
        <f>N19-358.81</f>
        <v>-300.74999999999994</v>
      </c>
      <c r="R19" s="126">
        <f>N19/358.81</f>
        <v>0.16181265851007515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-413.88</v>
      </c>
      <c r="G29" s="135">
        <f t="shared" si="0"/>
        <v>-413.88</v>
      </c>
      <c r="H29" s="137"/>
      <c r="I29" s="136">
        <f t="shared" si="1"/>
        <v>-413.88</v>
      </c>
      <c r="J29" s="136"/>
      <c r="K29" s="136">
        <f>F29-717.64</f>
        <v>-1131.52</v>
      </c>
      <c r="L29" s="136">
        <f>F29/717.64*100</f>
        <v>-57.67237054790703</v>
      </c>
      <c r="M29" s="137">
        <f>E29-'січень-2'!E29</f>
        <v>0</v>
      </c>
      <c r="N29" s="137">
        <f>F29-'січень-2'!F29</f>
        <v>24.470000000000027</v>
      </c>
      <c r="O29" s="138">
        <f t="shared" si="3"/>
        <v>24.470000000000027</v>
      </c>
      <c r="P29" s="50"/>
      <c r="Q29" s="136">
        <f>N29-358.81</f>
        <v>-334.34</v>
      </c>
      <c r="R29" s="141">
        <f>N29/358.79</f>
        <v>0.06820145489004717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515.85</v>
      </c>
      <c r="G33" s="43">
        <f t="shared" si="0"/>
        <v>-2204.15</v>
      </c>
      <c r="H33" s="35">
        <f t="shared" si="4"/>
        <v>18.965073529411764</v>
      </c>
      <c r="I33" s="50">
        <f t="shared" si="1"/>
        <v>-29434.15</v>
      </c>
      <c r="J33" s="178">
        <f>F33/D33*100</f>
        <v>1.7223706176961604</v>
      </c>
      <c r="K33" s="179">
        <f>F33-0</f>
        <v>515.85</v>
      </c>
      <c r="L33" s="180"/>
      <c r="M33" s="35">
        <f>E33-'січень-2'!E33</f>
        <v>2720</v>
      </c>
      <c r="N33" s="35">
        <f>F33-'січень-2'!F33</f>
        <v>515.85</v>
      </c>
      <c r="O33" s="47">
        <f t="shared" si="3"/>
        <v>-2204.15</v>
      </c>
      <c r="P33" s="50">
        <f t="shared" si="5"/>
        <v>18.965073529411764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32780.600000000006</v>
      </c>
      <c r="G34" s="43">
        <f t="shared" si="0"/>
        <v>3320.100000000006</v>
      </c>
      <c r="H34" s="35">
        <f t="shared" si="4"/>
        <v>111.26966616316764</v>
      </c>
      <c r="I34" s="50">
        <f t="shared" si="1"/>
        <v>-133989.4</v>
      </c>
      <c r="J34" s="178">
        <f aca="true" t="shared" si="11" ref="J34:J42">F34/D34*100</f>
        <v>19.656173172632972</v>
      </c>
      <c r="K34" s="178">
        <f>K35+K39+K40+K41</f>
        <v>8468.760000000002</v>
      </c>
      <c r="L34" s="136"/>
      <c r="M34" s="35">
        <f>E34-'січень-2'!E34</f>
        <v>15424</v>
      </c>
      <c r="N34" s="35">
        <f>F34-'січень-2'!F34</f>
        <v>17718.33000000001</v>
      </c>
      <c r="O34" s="47">
        <f t="shared" si="3"/>
        <v>2294.330000000009</v>
      </c>
      <c r="P34" s="50">
        <f t="shared" si="5"/>
        <v>114.87506483402497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11211.060000000001</v>
      </c>
      <c r="G35" s="43">
        <f t="shared" si="0"/>
        <v>-2543.4399999999987</v>
      </c>
      <c r="H35" s="35">
        <f t="shared" si="4"/>
        <v>81.50830637245993</v>
      </c>
      <c r="I35" s="50">
        <f t="shared" si="1"/>
        <v>-86988.94</v>
      </c>
      <c r="J35" s="178">
        <f t="shared" si="11"/>
        <v>11.416558044806518</v>
      </c>
      <c r="K35" s="178">
        <f>K36+K37+K38</f>
        <v>4863.460000000001</v>
      </c>
      <c r="L35" s="136"/>
      <c r="M35" s="35">
        <f>E35-'січень-2'!E35</f>
        <v>7220</v>
      </c>
      <c r="N35" s="35">
        <f>F35-'січень-2'!F35</f>
        <v>4628.380000000001</v>
      </c>
      <c r="O35" s="47">
        <f t="shared" si="3"/>
        <v>-2591.619999999999</v>
      </c>
      <c r="P35" s="50">
        <f t="shared" si="5"/>
        <v>64.10498614958449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176.61</v>
      </c>
      <c r="G36" s="135">
        <f t="shared" si="0"/>
        <v>72.11000000000001</v>
      </c>
      <c r="H36" s="137">
        <f t="shared" si="4"/>
        <v>169.00478468899522</v>
      </c>
      <c r="I36" s="136">
        <f t="shared" si="1"/>
        <v>-823.39</v>
      </c>
      <c r="J36" s="136">
        <f t="shared" si="11"/>
        <v>17.661</v>
      </c>
      <c r="K36" s="136">
        <f>F36-54.3</f>
        <v>122.31000000000002</v>
      </c>
      <c r="L36" s="136">
        <f>F36/54.3*100</f>
        <v>325.24861878453044</v>
      </c>
      <c r="M36" s="137">
        <f>E36-'січень-2'!E36</f>
        <v>20</v>
      </c>
      <c r="N36" s="137">
        <f>F36-'січень-2'!F36</f>
        <v>91.94000000000001</v>
      </c>
      <c r="O36" s="47">
        <f t="shared" si="3"/>
        <v>71.94000000000001</v>
      </c>
      <c r="P36" s="50">
        <f t="shared" si="5"/>
        <v>459.70000000000005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11028.2</v>
      </c>
      <c r="G38" s="135">
        <f t="shared" si="0"/>
        <v>-2621.7999999999993</v>
      </c>
      <c r="H38" s="137">
        <f t="shared" si="4"/>
        <v>80.792673992674</v>
      </c>
      <c r="I38" s="136">
        <f t="shared" si="1"/>
        <v>-84671.8</v>
      </c>
      <c r="J38" s="136">
        <f t="shared" si="11"/>
        <v>11.523719958202717</v>
      </c>
      <c r="K38" s="139">
        <f>F38-6293.3</f>
        <v>4734.900000000001</v>
      </c>
      <c r="L38" s="139">
        <f>F38/6293.3*100</f>
        <v>175.23715697646705</v>
      </c>
      <c r="M38" s="137">
        <f>E38-'січень-2'!E38</f>
        <v>7200</v>
      </c>
      <c r="N38" s="137">
        <f>F38-'січень-2'!F38</f>
        <v>4530.1900000000005</v>
      </c>
      <c r="O38" s="47">
        <f t="shared" si="3"/>
        <v>-2669.8099999999995</v>
      </c>
      <c r="P38" s="50">
        <f t="shared" si="5"/>
        <v>62.91930555555556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93.62</v>
      </c>
      <c r="G40" s="43">
        <f t="shared" si="0"/>
        <v>93.62</v>
      </c>
      <c r="H40" s="35"/>
      <c r="I40" s="50">
        <f t="shared" si="1"/>
        <v>93.62</v>
      </c>
      <c r="J40" s="136"/>
      <c r="K40" s="178">
        <f>F40-1067.46</f>
        <v>-973.84</v>
      </c>
      <c r="L40" s="178">
        <f>F40/1067.46*100</f>
        <v>8.77035205066232</v>
      </c>
      <c r="M40" s="35">
        <f>E40-'січень-2'!E40</f>
        <v>0</v>
      </c>
      <c r="N40" s="35">
        <f>F40-'січень-2'!F40</f>
        <v>-49.09</v>
      </c>
      <c r="O40" s="47">
        <f t="shared" si="3"/>
        <v>-49.09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21461.7</v>
      </c>
      <c r="G41" s="43">
        <f t="shared" si="0"/>
        <v>5761.700000000001</v>
      </c>
      <c r="H41" s="35">
        <f t="shared" si="4"/>
        <v>136.69872611464967</v>
      </c>
      <c r="I41" s="50">
        <f t="shared" si="1"/>
        <v>-47038.3</v>
      </c>
      <c r="J41" s="178">
        <f t="shared" si="11"/>
        <v>31.33094890510949</v>
      </c>
      <c r="K41" s="132">
        <f>F41-16881.34</f>
        <v>4580.360000000001</v>
      </c>
      <c r="L41" s="132">
        <f>F41/16881.34*100</f>
        <v>127.1326802256219</v>
      </c>
      <c r="M41" s="35">
        <f>E41-'січень-2'!E41</f>
        <v>8200</v>
      </c>
      <c r="N41" s="35">
        <f>F41-'січень-2'!F41</f>
        <v>13127.220000000001</v>
      </c>
      <c r="O41" s="47">
        <f t="shared" si="3"/>
        <v>4927.220000000001</v>
      </c>
      <c r="P41" s="50">
        <f t="shared" si="5"/>
        <v>160.0880487804878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1999.07</v>
      </c>
      <c r="G42" s="43">
        <f t="shared" si="0"/>
        <v>13.970000000000027</v>
      </c>
      <c r="H42" s="35">
        <f t="shared" si="4"/>
        <v>100.70374288448944</v>
      </c>
      <c r="I42" s="50">
        <f t="shared" si="1"/>
        <v>-5500.93</v>
      </c>
      <c r="J42" s="136">
        <f t="shared" si="11"/>
        <v>26.654266666666665</v>
      </c>
      <c r="K42" s="178">
        <f>F42-3484.64</f>
        <v>-1485.57</v>
      </c>
      <c r="L42" s="178">
        <f>F42/3484.64*100</f>
        <v>57.368049497222096</v>
      </c>
      <c r="M42" s="35">
        <f>E42-'січень-2'!E42</f>
        <v>1975.1</v>
      </c>
      <c r="N42" s="35">
        <f>F42-'січень-2'!F42</f>
        <v>1990.1799999999998</v>
      </c>
      <c r="O42" s="47">
        <f t="shared" si="3"/>
        <v>15.079999999999927</v>
      </c>
      <c r="P42" s="50">
        <f t="shared" si="5"/>
        <v>100.76350564528379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4535.92</v>
      </c>
      <c r="G48" s="44">
        <f aca="true" t="shared" si="12" ref="G48:G81">F48-E48</f>
        <v>2455.42</v>
      </c>
      <c r="H48" s="45">
        <f aca="true" t="shared" si="13" ref="H48:H59">F48/E48*100</f>
        <v>218.02066810862772</v>
      </c>
      <c r="I48" s="31">
        <f aca="true" t="shared" si="14" ref="I48:I81">F48-D48</f>
        <v>-8031.18</v>
      </c>
      <c r="J48" s="31">
        <f aca="true" t="shared" si="15" ref="J48:J66">F48/D48*100</f>
        <v>36.09360950418155</v>
      </c>
      <c r="K48" s="18">
        <f>K51+K60+K61+K62+K63+K71+K72+K73+K75+K79+K70</f>
        <v>2415.0299999999997</v>
      </c>
      <c r="L48" s="18"/>
      <c r="M48" s="18">
        <f>M51+M60+M61+M62+M63+M71+M72+M73+M75+M79+M70+M69</f>
        <v>1040.5</v>
      </c>
      <c r="N48" s="18">
        <f>N51+N60+N61+N62+N63+N71+N72+N73+N75+N79+N70+N69</f>
        <v>3513.54</v>
      </c>
      <c r="O48" s="49">
        <f aca="true" t="shared" si="16" ref="O48:O81">N48-M48</f>
        <v>2473.04</v>
      </c>
      <c r="P48" s="31">
        <f>N48/M48*100</f>
        <v>337.6780394041326</v>
      </c>
      <c r="Q48" s="31">
        <f>N48-1017.63</f>
        <v>2495.91</v>
      </c>
      <c r="R48" s="127">
        <f>N48/1017.63</f>
        <v>3.452669437811385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2"/>
        <v>1.67</v>
      </c>
      <c r="H61" s="35"/>
      <c r="I61" s="50">
        <f t="shared" si="14"/>
        <v>1.67</v>
      </c>
      <c r="J61" s="50"/>
      <c r="K61" s="50">
        <f>F61-97.38</f>
        <v>-95.71</v>
      </c>
      <c r="L61" s="50">
        <f>F61/97.38*100</f>
        <v>1.7149311973711234</v>
      </c>
      <c r="M61" s="35">
        <f>E61-'січень-2'!E61</f>
        <v>0</v>
      </c>
      <c r="N61" s="35">
        <f>F61-'січень-2'!F61</f>
        <v>0</v>
      </c>
      <c r="O61" s="47">
        <f t="shared" si="16"/>
        <v>0</v>
      </c>
      <c r="P61" s="50"/>
      <c r="Q61" s="50">
        <f>N61-4.23</f>
        <v>-4.23</v>
      </c>
      <c r="R61" s="126">
        <f>N61/4.23</f>
        <v>0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15.13</v>
      </c>
      <c r="G63" s="43">
        <f t="shared" si="12"/>
        <v>-0.8699999999999992</v>
      </c>
      <c r="H63" s="35">
        <f>F63/E63*100</f>
        <v>94.5625</v>
      </c>
      <c r="I63" s="50">
        <f t="shared" si="14"/>
        <v>-124.87</v>
      </c>
      <c r="J63" s="50">
        <v>10</v>
      </c>
      <c r="K63" s="50">
        <f aca="true" t="shared" si="20" ref="K63:K68">F63-19.41</f>
        <v>-4.279999999999999</v>
      </c>
      <c r="L63" s="50">
        <f>F63/19.41*100</f>
        <v>77.9495105615662</v>
      </c>
      <c r="M63" s="35">
        <f>E63-'січень-2'!E63</f>
        <v>10</v>
      </c>
      <c r="N63" s="35">
        <f>F63-'січень-2'!F63</f>
        <v>7.530000000000001</v>
      </c>
      <c r="O63" s="47">
        <f t="shared" si="16"/>
        <v>-2.469999999999999</v>
      </c>
      <c r="P63" s="50">
        <f>N63/M63*100</f>
        <v>75.30000000000001</v>
      </c>
      <c r="Q63" s="50">
        <f>N63-9.02</f>
        <v>-1.4899999999999984</v>
      </c>
      <c r="R63" s="126">
        <f>N63/9.02</f>
        <v>0.8348115299334813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1315.32</v>
      </c>
      <c r="G70" s="43">
        <f t="shared" si="12"/>
        <v>1315.32</v>
      </c>
      <c r="H70" s="35"/>
      <c r="I70" s="50">
        <f t="shared" si="14"/>
        <v>1315.32</v>
      </c>
      <c r="J70" s="50"/>
      <c r="K70" s="50">
        <f>F70-0</f>
        <v>1315.32</v>
      </c>
      <c r="L70" s="50"/>
      <c r="M70" s="35">
        <f>E691</f>
        <v>0</v>
      </c>
      <c r="N70" s="35">
        <f>F70-0</f>
        <v>1315.32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1313.95</v>
      </c>
      <c r="G72" s="43">
        <f t="shared" si="12"/>
        <v>1164.95</v>
      </c>
      <c r="H72" s="35">
        <f>F72/E72*100</f>
        <v>881.8456375838925</v>
      </c>
      <c r="I72" s="50">
        <f t="shared" si="14"/>
        <v>213.95000000000005</v>
      </c>
      <c r="J72" s="50">
        <v>90</v>
      </c>
      <c r="K72" s="50">
        <f>F72-126.54</f>
        <v>1187.41</v>
      </c>
      <c r="L72" s="50">
        <f>F72/126.54*100</f>
        <v>1038.367314683104</v>
      </c>
      <c r="M72" s="35">
        <f>E72-'січень-2'!E70</f>
        <v>90</v>
      </c>
      <c r="N72" s="35">
        <f>F72-'січень-2'!F70</f>
        <v>1254.74</v>
      </c>
      <c r="O72" s="47">
        <f t="shared" si="16"/>
        <v>1164.74</v>
      </c>
      <c r="P72" s="50">
        <f>N72/M72*100</f>
        <v>1394.1555555555556</v>
      </c>
      <c r="Q72" s="50">
        <f>N72-79.51</f>
        <v>1175.23</v>
      </c>
      <c r="R72" s="126">
        <f>N72/79.51</f>
        <v>15.780908061879009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574.01</v>
      </c>
      <c r="G75" s="43">
        <f t="shared" si="12"/>
        <v>-75.99000000000001</v>
      </c>
      <c r="H75" s="35">
        <f>F75/E75*100</f>
        <v>88.30923076923078</v>
      </c>
      <c r="I75" s="50">
        <f t="shared" si="14"/>
        <v>-3625.99</v>
      </c>
      <c r="J75" s="50">
        <f>F75/D75*100</f>
        <v>13.66690476190476</v>
      </c>
      <c r="K75" s="50">
        <f>F75-652</f>
        <v>-77.99000000000001</v>
      </c>
      <c r="L75" s="50">
        <f>F75/652*100</f>
        <v>88.03834355828221</v>
      </c>
      <c r="M75" s="35">
        <f>E75-'січень-2'!M73</f>
        <v>370</v>
      </c>
      <c r="N75" s="35">
        <f>F75-'січень-2'!F73</f>
        <v>310.81</v>
      </c>
      <c r="O75" s="47">
        <f t="shared" si="16"/>
        <v>-59.19</v>
      </c>
      <c r="P75" s="50">
        <f t="shared" si="21"/>
        <v>84.0027027027027</v>
      </c>
      <c r="Q75" s="50">
        <f>N75-277.38</f>
        <v>33.43000000000001</v>
      </c>
      <c r="R75" s="126">
        <f>N75/277.38</f>
        <v>1.120520585478405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137.3</v>
      </c>
      <c r="G78" s="135">
        <f t="shared" si="12"/>
        <v>137.3</v>
      </c>
      <c r="H78" s="137"/>
      <c r="I78" s="136">
        <f t="shared" si="14"/>
        <v>137.3</v>
      </c>
      <c r="J78" s="136"/>
      <c r="K78" s="136">
        <f>F78-130.1</f>
        <v>7.200000000000017</v>
      </c>
      <c r="L78" s="138">
        <f>F78/130.1*100</f>
        <v>105.53420445810917</v>
      </c>
      <c r="M78" s="137">
        <f>E78-'січень-2'!M76</f>
        <v>0</v>
      </c>
      <c r="N78" s="137">
        <f>F78-'січень-2'!F76</f>
        <v>55.400000000000006</v>
      </c>
      <c r="O78" s="138">
        <f t="shared" si="16"/>
        <v>55.400000000000006</v>
      </c>
      <c r="P78" s="136"/>
      <c r="Q78" s="50">
        <f>N78-64.93</f>
        <v>-9.530000000000001</v>
      </c>
      <c r="R78" s="126">
        <f>N78/64.93</f>
        <v>0.8532265516710303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2.04</v>
      </c>
      <c r="G80" s="43">
        <f t="shared" si="12"/>
        <v>-1.96</v>
      </c>
      <c r="H80" s="35">
        <f>F80/E80*100</f>
        <v>51</v>
      </c>
      <c r="I80" s="50">
        <f t="shared" si="14"/>
        <v>-24.46</v>
      </c>
      <c r="J80" s="50">
        <f>F80/D80*100</f>
        <v>7.698113207547171</v>
      </c>
      <c r="K80" s="50">
        <f>F80-2.7</f>
        <v>-0.6600000000000001</v>
      </c>
      <c r="L80" s="50">
        <f>F80/2.7*100</f>
        <v>75.55555555555556</v>
      </c>
      <c r="M80" s="35">
        <f>E80-'січень-2'!M78</f>
        <v>2.2</v>
      </c>
      <c r="N80" s="35">
        <f>F80-'січень-2'!F78</f>
        <v>0.24</v>
      </c>
      <c r="O80" s="47">
        <f t="shared" si="16"/>
        <v>-1.9600000000000002</v>
      </c>
      <c r="P80" s="50">
        <f t="shared" si="21"/>
        <v>10.909090909090907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84770.01000000001</v>
      </c>
      <c r="G82" s="44">
        <f>F82-E82</f>
        <v>3577.5100000000093</v>
      </c>
      <c r="H82" s="45">
        <f>F82/E82*100</f>
        <v>104.40620746990179</v>
      </c>
      <c r="I82" s="31">
        <f>F82-D82</f>
        <v>-445252.58999999997</v>
      </c>
      <c r="J82" s="31">
        <f>F82/D82*100</f>
        <v>15.993659515650844</v>
      </c>
      <c r="K82" s="31">
        <f>K8+K48+K80+K81</f>
        <v>10311.128000000008</v>
      </c>
      <c r="L82" s="31"/>
      <c r="M82" s="18">
        <f>M8+M48+M80+M81</f>
        <v>45098.799999999996</v>
      </c>
      <c r="N82" s="18">
        <f>N8+N48+N80+N81</f>
        <v>46031.494</v>
      </c>
      <c r="O82" s="49">
        <f>N82-M82</f>
        <v>932.6940000000031</v>
      </c>
      <c r="P82" s="31">
        <f>N82/M82*100</f>
        <v>102.06811267705571</v>
      </c>
      <c r="Q82" s="31">
        <f>N82-34768</f>
        <v>11263.493999999999</v>
      </c>
      <c r="R82" s="171">
        <f>N82/34768</f>
        <v>1.3239615163368614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-8.06</v>
      </c>
      <c r="G87" s="43">
        <f aca="true" t="shared" si="22" ref="G87:G95">F87-E87</f>
        <v>-8.06</v>
      </c>
      <c r="H87" s="35"/>
      <c r="I87" s="53">
        <f aca="true" t="shared" si="23" ref="I87:I94">F87-D87</f>
        <v>-8.06</v>
      </c>
      <c r="J87" s="53"/>
      <c r="K87" s="47">
        <f>F87-(-7.2)</f>
        <v>-0.8600000000000003</v>
      </c>
      <c r="L87" s="53"/>
      <c r="M87" s="35">
        <f>E87-'січень-2'!E85</f>
        <v>0</v>
      </c>
      <c r="N87" s="35">
        <f>F87-'січень-2'!F85</f>
        <v>-12.46</v>
      </c>
      <c r="O87" s="47">
        <f aca="true" t="shared" si="24" ref="O87:O95">N87-M87</f>
        <v>-12.46</v>
      </c>
      <c r="P87" s="53"/>
      <c r="Q87" s="53">
        <f>N87-24.53</f>
        <v>-36.99</v>
      </c>
      <c r="R87" s="129">
        <f>N87/24.53</f>
        <v>-0.5079494496534855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-8.06</v>
      </c>
      <c r="G88" s="55">
        <f t="shared" si="22"/>
        <v>-8.06</v>
      </c>
      <c r="H88" s="65"/>
      <c r="I88" s="54">
        <f t="shared" si="23"/>
        <v>-8.06</v>
      </c>
      <c r="J88" s="54"/>
      <c r="K88" s="54">
        <f>F88-(-7.15)</f>
        <v>-0.9100000000000001</v>
      </c>
      <c r="L88" s="54">
        <f>F88/223.32*100</f>
        <v>-3.6091706967580155</v>
      </c>
      <c r="M88" s="55">
        <f>M87</f>
        <v>0</v>
      </c>
      <c r="N88" s="33">
        <f>SUM(N87:N87)</f>
        <v>-12.46</v>
      </c>
      <c r="O88" s="54">
        <f t="shared" si="24"/>
        <v>-12.46</v>
      </c>
      <c r="P88" s="54"/>
      <c r="Q88" s="54">
        <f>N88-92.85</f>
        <v>-105.31</v>
      </c>
      <c r="R88" s="130">
        <f>N88/92.85</f>
        <v>-0.1341949380721594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314.64</v>
      </c>
      <c r="G91" s="43">
        <f t="shared" si="22"/>
        <v>-41.33800000000002</v>
      </c>
      <c r="H91" s="35">
        <f t="shared" si="25"/>
        <v>88.38748461983606</v>
      </c>
      <c r="I91" s="53">
        <f t="shared" si="23"/>
        <v>-11261.36</v>
      </c>
      <c r="J91" s="53">
        <f t="shared" si="26"/>
        <v>2.7180373185901865</v>
      </c>
      <c r="K91" s="53">
        <f>F91-1043.17</f>
        <v>-728.5300000000001</v>
      </c>
      <c r="L91" s="53">
        <f>F91/1043.17*100</f>
        <v>30.161910331010283</v>
      </c>
      <c r="M91" s="35">
        <f>E91-'січень-2'!E89</f>
        <v>96.28000000000003</v>
      </c>
      <c r="N91" s="35">
        <f>F91-'січень-2'!F89</f>
        <v>54.94999999999999</v>
      </c>
      <c r="O91" s="47">
        <f t="shared" si="24"/>
        <v>-41.33000000000004</v>
      </c>
      <c r="P91" s="53">
        <f>N91/M91*100</f>
        <v>57.07312006647276</v>
      </c>
      <c r="Q91" s="53">
        <f>N91-450.01</f>
        <v>-395.06</v>
      </c>
      <c r="R91" s="129">
        <f>N91/450.01</f>
        <v>0.12210839759116462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313.11999999999995</v>
      </c>
      <c r="G93" s="55">
        <f t="shared" si="22"/>
        <v>-190.95800000000003</v>
      </c>
      <c r="H93" s="65">
        <f t="shared" si="25"/>
        <v>62.11737072437201</v>
      </c>
      <c r="I93" s="54">
        <f t="shared" si="23"/>
        <v>-16762.88</v>
      </c>
      <c r="J93" s="54">
        <f t="shared" si="26"/>
        <v>1.8336847036776758</v>
      </c>
      <c r="K93" s="54">
        <f>F93-1606.47</f>
        <v>-1293.3500000000001</v>
      </c>
      <c r="L93" s="54">
        <f>F93/1606.47*100</f>
        <v>19.491182530641716</v>
      </c>
      <c r="M93" s="55">
        <f>M90+M91+M92</f>
        <v>244.38000000000002</v>
      </c>
      <c r="N93" s="55">
        <f>N90+N91+N92</f>
        <v>69.43999999999998</v>
      </c>
      <c r="O93" s="54">
        <f t="shared" si="24"/>
        <v>-174.94000000000005</v>
      </c>
      <c r="P93" s="54">
        <f>N93/M93*100</f>
        <v>28.414763892298865</v>
      </c>
      <c r="Q93" s="54">
        <f>N93-7985.28</f>
        <v>-7915.84</v>
      </c>
      <c r="R93" s="173">
        <f>N93/7985.28</f>
        <v>0.00869600064117977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0.37</v>
      </c>
      <c r="G97" s="43">
        <f>F97-E97</f>
        <v>0.37</v>
      </c>
      <c r="H97" s="35"/>
      <c r="I97" s="53">
        <f>F97-D97</f>
        <v>0.37</v>
      </c>
      <c r="J97" s="53"/>
      <c r="K97" s="53">
        <f>F97-(-0.23)</f>
        <v>0.6</v>
      </c>
      <c r="L97" s="53">
        <f>F97/(-0.23)*100</f>
        <v>-160.86956521739128</v>
      </c>
      <c r="M97" s="35">
        <f>E97-'січень-2'!E95</f>
        <v>0</v>
      </c>
      <c r="N97" s="35">
        <f>F97-'січень-2'!F95</f>
        <v>0.19999999999999998</v>
      </c>
      <c r="O97" s="47">
        <f>N97-M97</f>
        <v>0.19999999999999998</v>
      </c>
      <c r="P97" s="53"/>
      <c r="Q97" s="53">
        <f>N97-(-0.21)</f>
        <v>0.41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0.37</v>
      </c>
      <c r="G98" s="55">
        <f>F98-E98</f>
        <v>0.37</v>
      </c>
      <c r="H98" s="65"/>
      <c r="I98" s="54">
        <f>F98-D98</f>
        <v>-53.63</v>
      </c>
      <c r="J98" s="54">
        <f>F98/D98*100</f>
        <v>0.6851851851851852</v>
      </c>
      <c r="K98" s="54">
        <f>F98-8.69</f>
        <v>-8.32</v>
      </c>
      <c r="L98" s="54">
        <f>F98/8.69*100</f>
        <v>4.25776754890679</v>
      </c>
      <c r="M98" s="55">
        <f>M94+M97+M96</f>
        <v>0</v>
      </c>
      <c r="N98" s="55">
        <f>N94+N97+N96</f>
        <v>0.19999999999999998</v>
      </c>
      <c r="O98" s="54">
        <f>N98-M98</f>
        <v>0.19999999999999998</v>
      </c>
      <c r="P98" s="54"/>
      <c r="Q98" s="54">
        <f>N98-26.38</f>
        <v>-26.18</v>
      </c>
      <c r="R98" s="128">
        <f>N98/26.38</f>
        <v>0.0075815011372251705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0.59</v>
      </c>
      <c r="G99" s="43">
        <f>F99-E99</f>
        <v>-2</v>
      </c>
      <c r="H99" s="35">
        <f>F99/E99*100</f>
        <v>22.779922779922778</v>
      </c>
      <c r="I99" s="53">
        <f>F99-D99</f>
        <v>-41.41</v>
      </c>
      <c r="J99" s="53">
        <f>F99/D99*100</f>
        <v>1.4047619047619047</v>
      </c>
      <c r="K99" s="53">
        <f>F99-1.98</f>
        <v>-1.3900000000000001</v>
      </c>
      <c r="L99" s="53">
        <f>F99/1.98*100</f>
        <v>29.797979797979796</v>
      </c>
      <c r="M99" s="35">
        <f>E99-'січень-2'!E97</f>
        <v>2</v>
      </c>
      <c r="N99" s="35">
        <f>F99-'січень-2'!F97</f>
        <v>0</v>
      </c>
      <c r="O99" s="47">
        <f>N99-M99</f>
        <v>-2</v>
      </c>
      <c r="P99" s="53">
        <f>N99/M99*100</f>
        <v>0</v>
      </c>
      <c r="Q99" s="53">
        <f>N99-0.45</f>
        <v>-0.45</v>
      </c>
      <c r="R99" s="129">
        <f>N99/0.45</f>
        <v>0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306.0199999999999</v>
      </c>
      <c r="G100" s="44">
        <f>F100-E100</f>
        <v>-200.64800000000002</v>
      </c>
      <c r="H100" s="45">
        <f>F100/E100*100</f>
        <v>60.398525267038764</v>
      </c>
      <c r="I100" s="31">
        <f>F100-D100</f>
        <v>-16865.98</v>
      </c>
      <c r="J100" s="31">
        <f>F100/D100*100</f>
        <v>1.7820871185651055</v>
      </c>
      <c r="K100" s="31">
        <f>K88+K93+K98+K99</f>
        <v>-1303.9700000000003</v>
      </c>
      <c r="L100" s="31"/>
      <c r="M100" s="27">
        <f>M88+M99+M93+M98</f>
        <v>246.38000000000002</v>
      </c>
      <c r="N100" s="27">
        <f>N88+N99+N93+N98</f>
        <v>57.179999999999986</v>
      </c>
      <c r="O100" s="31">
        <f>N100-M100</f>
        <v>-189.20000000000005</v>
      </c>
      <c r="P100" s="31">
        <f>N100/M100*100</f>
        <v>23.208052601672204</v>
      </c>
      <c r="Q100" s="31">
        <f>N100-8104.96</f>
        <v>-8047.78</v>
      </c>
      <c r="R100" s="127">
        <f>N100/8104.96</f>
        <v>0.007054939197725835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85076.03000000001</v>
      </c>
      <c r="G101" s="44">
        <f>F101-E101</f>
        <v>3376.8620000000083</v>
      </c>
      <c r="H101" s="45">
        <f>F101/E101*100</f>
        <v>104.1332881137786</v>
      </c>
      <c r="I101" s="31">
        <f>F101-D101</f>
        <v>-462118.56999999995</v>
      </c>
      <c r="J101" s="31">
        <f>F101/D101*100</f>
        <v>15.547673533327998</v>
      </c>
      <c r="K101" s="31">
        <f>K82+K100</f>
        <v>9007.158000000007</v>
      </c>
      <c r="L101" s="31"/>
      <c r="M101" s="18">
        <f>M82+M100</f>
        <v>45345.17999999999</v>
      </c>
      <c r="N101" s="18">
        <f>N82+N100</f>
        <v>46088.674</v>
      </c>
      <c r="O101" s="31">
        <f>N101-M101</f>
        <v>743.494000000006</v>
      </c>
      <c r="P101" s="31">
        <f>N101/M101*100</f>
        <v>101.63963181974358</v>
      </c>
      <c r="Q101" s="31">
        <f>N101-42872.96</f>
        <v>3215.714</v>
      </c>
      <c r="R101" s="127">
        <f>N101/42872.96</f>
        <v>1.075005644583439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2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42059</v>
      </c>
      <c r="D105" s="34">
        <v>1551.3</v>
      </c>
      <c r="N105" s="190"/>
      <c r="O105" s="190"/>
    </row>
    <row r="106" spans="3:15" ht="15.75">
      <c r="C106" s="111">
        <v>42059</v>
      </c>
      <c r="D106" s="34">
        <v>1936.1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42058</v>
      </c>
      <c r="D107" s="34">
        <v>1361.5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118852.15883</v>
      </c>
      <c r="E109" s="73"/>
      <c r="F109" s="156" t="s">
        <v>147</v>
      </c>
      <c r="G109" s="187" t="s">
        <v>149</v>
      </c>
      <c r="H109" s="187"/>
      <c r="I109" s="107">
        <v>109942.42662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8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81.9</v>
      </c>
      <c r="G76" s="43">
        <f t="shared" si="13"/>
        <v>81.9</v>
      </c>
      <c r="H76" s="35"/>
      <c r="I76" s="50">
        <f t="shared" si="15"/>
        <v>81.9</v>
      </c>
      <c r="J76" s="136"/>
      <c r="K76" s="136">
        <f>F76-64.93</f>
        <v>16.97</v>
      </c>
      <c r="L76" s="138">
        <f>F76/64.93*100</f>
        <v>126.13583859541045</v>
      </c>
      <c r="M76" s="35">
        <f t="shared" si="20"/>
        <v>0</v>
      </c>
      <c r="N76" s="35">
        <f t="shared" si="21"/>
        <v>81.9</v>
      </c>
      <c r="O76" s="47"/>
      <c r="P76" s="50"/>
      <c r="Q76" s="50">
        <f>N76-64.93</f>
        <v>16.97</v>
      </c>
      <c r="R76" s="126">
        <f>N76/64.93</f>
        <v>1.2613583859541044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2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7" sqref="F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2015-02-25T13:41:51Z</cp:lastPrinted>
  <dcterms:created xsi:type="dcterms:W3CDTF">2003-07-28T11:27:56Z</dcterms:created>
  <dcterms:modified xsi:type="dcterms:W3CDTF">2015-02-26T13:54:55Z</dcterms:modified>
  <cp:category/>
  <cp:version/>
  <cp:contentType/>
  <cp:contentStatus/>
</cp:coreProperties>
</file>